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이상호-업무\1. 이상호업무파일\#산학기획과\1.인사노무\"/>
    </mc:Choice>
  </mc:AlternateContent>
  <bookViews>
    <workbookView xWindow="0" yWindow="0" windowWidth="28800" windowHeight="11535"/>
  </bookViews>
  <sheets>
    <sheet name="인건비확보총예산기준" sheetId="5" r:id="rId1"/>
    <sheet name="월급기준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J28" i="1" l="1"/>
  <c r="I28" i="1"/>
  <c r="M8" i="1" l="1"/>
  <c r="N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8" i="1" l="1"/>
  <c r="E8" i="1" s="1"/>
  <c r="J28" i="5" l="1"/>
  <c r="I28" i="5"/>
  <c r="K27" i="1" l="1"/>
  <c r="K28" i="1" l="1"/>
  <c r="J32" i="1"/>
  <c r="J32" i="5" l="1"/>
  <c r="I32" i="5"/>
  <c r="K31" i="5"/>
  <c r="K30" i="5"/>
  <c r="K29" i="5"/>
  <c r="K28" i="5"/>
  <c r="K27" i="5"/>
  <c r="K26" i="5"/>
  <c r="C19" i="5"/>
  <c r="C18" i="5"/>
  <c r="C17" i="5"/>
  <c r="C16" i="5"/>
  <c r="C15" i="5"/>
  <c r="C14" i="5"/>
  <c r="C13" i="5"/>
  <c r="C12" i="5"/>
  <c r="C11" i="5"/>
  <c r="C10" i="5"/>
  <c r="C9" i="5"/>
  <c r="C8" i="5"/>
  <c r="D13" i="5" l="1"/>
  <c r="E13" i="5" s="1"/>
  <c r="D19" i="5"/>
  <c r="E19" i="5" s="1"/>
  <c r="D9" i="5"/>
  <c r="E9" i="5" s="1"/>
  <c r="D11" i="5"/>
  <c r="E11" i="5" s="1"/>
  <c r="D12" i="5"/>
  <c r="E12" i="5" s="1"/>
  <c r="I12" i="5" s="1"/>
  <c r="D14" i="5"/>
  <c r="E14" i="5" s="1"/>
  <c r="F14" i="5" s="1"/>
  <c r="D8" i="5"/>
  <c r="D15" i="5"/>
  <c r="E15" i="5" s="1"/>
  <c r="D16" i="5"/>
  <c r="E16" i="5" s="1"/>
  <c r="H16" i="5" s="1"/>
  <c r="D17" i="5"/>
  <c r="E17" i="5" s="1"/>
  <c r="D18" i="5"/>
  <c r="E18" i="5" s="1"/>
  <c r="G18" i="5" s="1"/>
  <c r="D10" i="5"/>
  <c r="E10" i="5" s="1"/>
  <c r="F10" i="5" s="1"/>
  <c r="E20" i="1"/>
  <c r="K32" i="5"/>
  <c r="C20" i="5"/>
  <c r="C19" i="1"/>
  <c r="C18" i="1"/>
  <c r="C17" i="1"/>
  <c r="C16" i="1"/>
  <c r="C15" i="1"/>
  <c r="C14" i="1"/>
  <c r="C13" i="1"/>
  <c r="C12" i="1"/>
  <c r="C11" i="1"/>
  <c r="C10" i="1"/>
  <c r="C9" i="1"/>
  <c r="C8" i="1"/>
  <c r="K19" i="5" l="1"/>
  <c r="K13" i="5"/>
  <c r="E8" i="5"/>
  <c r="D20" i="5"/>
  <c r="B20" i="5" s="1"/>
  <c r="K9" i="5"/>
  <c r="K11" i="5"/>
  <c r="K15" i="5"/>
  <c r="K17" i="5"/>
  <c r="I8" i="5"/>
  <c r="J17" i="5"/>
  <c r="F13" i="5"/>
  <c r="B13" i="5"/>
  <c r="B14" i="5"/>
  <c r="I16" i="5"/>
  <c r="I11" i="5"/>
  <c r="B9" i="5"/>
  <c r="J18" i="5"/>
  <c r="B19" i="5"/>
  <c r="G14" i="5"/>
  <c r="B12" i="5"/>
  <c r="F12" i="5"/>
  <c r="J14" i="5"/>
  <c r="K12" i="5"/>
  <c r="I14" i="5"/>
  <c r="G12" i="5"/>
  <c r="H19" i="5"/>
  <c r="H14" i="5"/>
  <c r="J12" i="5"/>
  <c r="H12" i="5"/>
  <c r="J16" i="5"/>
  <c r="G16" i="5"/>
  <c r="B11" i="5"/>
  <c r="B16" i="5"/>
  <c r="F16" i="5"/>
  <c r="J10" i="5"/>
  <c r="K16" i="5"/>
  <c r="G9" i="5"/>
  <c r="F18" i="5"/>
  <c r="B17" i="5"/>
  <c r="J15" i="5"/>
  <c r="H18" i="5"/>
  <c r="I18" i="5"/>
  <c r="H10" i="5"/>
  <c r="I10" i="5"/>
  <c r="B10" i="5"/>
  <c r="B15" i="5"/>
  <c r="K18" i="5"/>
  <c r="K14" i="5"/>
  <c r="K10" i="5"/>
  <c r="B18" i="5"/>
  <c r="G10" i="5"/>
  <c r="B8" i="5"/>
  <c r="K8" i="5"/>
  <c r="H13" i="5"/>
  <c r="C20" i="1"/>
  <c r="I32" i="1"/>
  <c r="K29" i="1"/>
  <c r="K30" i="1"/>
  <c r="K31" i="1"/>
  <c r="K26" i="1"/>
  <c r="J8" i="5" l="1"/>
  <c r="F8" i="5"/>
  <c r="G8" i="5"/>
  <c r="H8" i="5"/>
  <c r="J11" i="5"/>
  <c r="H11" i="5"/>
  <c r="G13" i="5"/>
  <c r="J13" i="5"/>
  <c r="F17" i="5"/>
  <c r="G11" i="5"/>
  <c r="I17" i="5"/>
  <c r="G17" i="5"/>
  <c r="H17" i="5"/>
  <c r="F15" i="5"/>
  <c r="I13" i="5"/>
  <c r="F11" i="5"/>
  <c r="F19" i="5"/>
  <c r="I19" i="5"/>
  <c r="J9" i="5"/>
  <c r="H9" i="5"/>
  <c r="J19" i="5"/>
  <c r="G19" i="5"/>
  <c r="I9" i="5"/>
  <c r="F9" i="5"/>
  <c r="K20" i="5"/>
  <c r="I15" i="5"/>
  <c r="G15" i="5"/>
  <c r="H15" i="5"/>
  <c r="E20" i="5"/>
  <c r="K32" i="1"/>
  <c r="H20" i="5" l="1"/>
  <c r="F20" i="5"/>
  <c r="J20" i="5"/>
  <c r="I20" i="5"/>
  <c r="G20" i="5"/>
  <c r="K21" i="5" l="1"/>
  <c r="H19" i="1"/>
  <c r="F19" i="1"/>
  <c r="J19" i="1"/>
  <c r="I19" i="1"/>
  <c r="G19" i="1"/>
  <c r="H15" i="1"/>
  <c r="I15" i="1"/>
  <c r="F15" i="1"/>
  <c r="J15" i="1"/>
  <c r="G15" i="1"/>
  <c r="F13" i="1"/>
  <c r="J13" i="1"/>
  <c r="G13" i="1"/>
  <c r="H13" i="1"/>
  <c r="I13" i="1"/>
  <c r="I18" i="1"/>
  <c r="J18" i="1"/>
  <c r="G18" i="1"/>
  <c r="H18" i="1"/>
  <c r="F18" i="1"/>
  <c r="H11" i="1"/>
  <c r="I11" i="1"/>
  <c r="F11" i="1"/>
  <c r="J11" i="1"/>
  <c r="G11" i="1"/>
  <c r="F9" i="1"/>
  <c r="J9" i="1"/>
  <c r="G9" i="1"/>
  <c r="H9" i="1"/>
  <c r="I9" i="1"/>
  <c r="I10" i="1"/>
  <c r="F10" i="1"/>
  <c r="J10" i="1"/>
  <c r="G10" i="1"/>
  <c r="H10" i="1"/>
  <c r="I14" i="1"/>
  <c r="F14" i="1"/>
  <c r="J14" i="1"/>
  <c r="G14" i="1"/>
  <c r="H14" i="1"/>
  <c r="G12" i="1"/>
  <c r="H12" i="1"/>
  <c r="I12" i="1"/>
  <c r="F12" i="1"/>
  <c r="J12" i="1"/>
  <c r="G16" i="1"/>
  <c r="I16" i="1"/>
  <c r="H16" i="1"/>
  <c r="F16" i="1"/>
  <c r="J16" i="1"/>
  <c r="F17" i="1"/>
  <c r="J17" i="1"/>
  <c r="G17" i="1"/>
  <c r="H17" i="1"/>
  <c r="I17" i="1"/>
  <c r="F8" i="1"/>
  <c r="K8" i="1"/>
  <c r="B8" i="1"/>
  <c r="H8" i="1" l="1"/>
  <c r="G8" i="1"/>
  <c r="I8" i="1"/>
  <c r="J8" i="1"/>
  <c r="K11" i="1"/>
  <c r="B11" i="1"/>
  <c r="K9" i="1"/>
  <c r="B9" i="1"/>
  <c r="K10" i="1"/>
  <c r="B10" i="1"/>
  <c r="K14" i="1" l="1"/>
  <c r="K12" i="1"/>
  <c r="B12" i="1"/>
  <c r="B14" i="1" l="1"/>
  <c r="B13" i="1"/>
  <c r="K13" i="1"/>
  <c r="B17" i="1" l="1"/>
  <c r="K17" i="1"/>
  <c r="K15" i="1"/>
  <c r="B15" i="1"/>
  <c r="K16" i="1"/>
  <c r="B16" i="1"/>
  <c r="K18" i="1" l="1"/>
  <c r="D20" i="1" l="1"/>
  <c r="B20" i="1" s="1"/>
  <c r="B18" i="1"/>
  <c r="K19" i="1"/>
  <c r="K20" i="1" s="1"/>
  <c r="B19" i="1"/>
  <c r="G20" i="1" l="1"/>
  <c r="H20" i="1" l="1"/>
  <c r="F20" i="1"/>
  <c r="I20" i="1"/>
  <c r="J20" i="1"/>
  <c r="K21" i="1" l="1"/>
  <c r="N21" i="1" s="1"/>
  <c r="N23" i="1" s="1"/>
</calcChain>
</file>

<file path=xl/sharedStrings.xml><?xml version="1.0" encoding="utf-8"?>
<sst xmlns="http://schemas.openxmlformats.org/spreadsheetml/2006/main" count="75" uniqueCount="40">
  <si>
    <t>순번</t>
    <phoneticPr fontId="2" type="noConversion"/>
  </si>
  <si>
    <t>식대</t>
    <phoneticPr fontId="2" type="noConversion"/>
  </si>
  <si>
    <t>기본급</t>
    <phoneticPr fontId="2" type="noConversion"/>
  </si>
  <si>
    <t>건강보험</t>
    <phoneticPr fontId="2" type="noConversion"/>
  </si>
  <si>
    <t>장기요양보험</t>
    <phoneticPr fontId="2" type="noConversion"/>
  </si>
  <si>
    <t>고용보험</t>
    <phoneticPr fontId="2" type="noConversion"/>
  </si>
  <si>
    <t>산재보험</t>
    <phoneticPr fontId="2" type="noConversion"/>
  </si>
  <si>
    <t>퇴직금</t>
    <phoneticPr fontId="2" type="noConversion"/>
  </si>
  <si>
    <t>국민연금</t>
    <phoneticPr fontId="2" type="noConversion"/>
  </si>
  <si>
    <t>건강보험</t>
    <phoneticPr fontId="2" type="noConversion"/>
  </si>
  <si>
    <t>장기요양보험</t>
    <phoneticPr fontId="2" type="noConversion"/>
  </si>
  <si>
    <t>고용보험</t>
    <phoneticPr fontId="2" type="noConversion"/>
  </si>
  <si>
    <t>실업급여</t>
    <phoneticPr fontId="2" type="noConversion"/>
  </si>
  <si>
    <t>고용안정,직업능력개발</t>
    <phoneticPr fontId="2" type="noConversion"/>
  </si>
  <si>
    <t>산재보험</t>
    <phoneticPr fontId="2" type="noConversion"/>
  </si>
  <si>
    <t>합계</t>
    <phoneticPr fontId="2" type="noConversion"/>
  </si>
  <si>
    <t>개인</t>
    <phoneticPr fontId="2" type="noConversion"/>
  </si>
  <si>
    <t>법인</t>
    <phoneticPr fontId="2" type="noConversion"/>
  </si>
  <si>
    <t>구분</t>
    <phoneticPr fontId="2" type="noConversion"/>
  </si>
  <si>
    <t>국민연금</t>
    <phoneticPr fontId="2" type="noConversion"/>
  </si>
  <si>
    <t>년</t>
    <phoneticPr fontId="2" type="noConversion"/>
  </si>
  <si>
    <t>월급</t>
    <phoneticPr fontId="2" type="noConversion"/>
  </si>
  <si>
    <t>계약기간(월)</t>
    <phoneticPr fontId="2" type="noConversion"/>
  </si>
  <si>
    <t>식대</t>
    <phoneticPr fontId="2" type="noConversion"/>
  </si>
  <si>
    <t>과세금액</t>
    <phoneticPr fontId="2" type="noConversion"/>
  </si>
  <si>
    <t>인건비 계산기 ( 년/총액 기준 )</t>
    <phoneticPr fontId="2" type="noConversion"/>
  </si>
  <si>
    <t>색부분을 입력하시면 됩니다.</t>
    <phoneticPr fontId="2" type="noConversion"/>
  </si>
  <si>
    <t>월급</t>
    <phoneticPr fontId="2" type="noConversion"/>
  </si>
  <si>
    <t>인건비지급가능금액(월급기준):</t>
    <phoneticPr fontId="2" type="noConversion"/>
  </si>
  <si>
    <t>인건비 계산기 ( 년/월급 기준 )</t>
    <phoneticPr fontId="2" type="noConversion"/>
  </si>
  <si>
    <t>* 장기요양보험 : 건강보험 X</t>
    <phoneticPr fontId="2" type="noConversion"/>
  </si>
  <si>
    <t>확보예산기준(인건비)-연기준</t>
    <phoneticPr fontId="2" type="noConversion"/>
  </si>
  <si>
    <t>※ 1년미만 퇴직금계산</t>
    <phoneticPr fontId="2" type="noConversion"/>
  </si>
  <si>
    <t>개월수</t>
    <phoneticPr fontId="2" type="noConversion"/>
  </si>
  <si>
    <t>지출합계</t>
    <phoneticPr fontId="2" type="noConversion"/>
  </si>
  <si>
    <t>급여+4대보험기관부담금+퇴직적립</t>
    <phoneticPr fontId="2" type="noConversion"/>
  </si>
  <si>
    <t>예산액</t>
    <phoneticPr fontId="2" type="noConversion"/>
  </si>
  <si>
    <t>남는금액</t>
    <phoneticPr fontId="2" type="noConversion"/>
  </si>
  <si>
    <t>총인건비합계(4대보험 기관부담금/퇴직금 포함)-필요예산</t>
    <phoneticPr fontId="2" type="noConversion"/>
  </si>
  <si>
    <t>2026년도 4대보험 부담률(1/1)기준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</si>
</sst>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00%"/>
    <numFmt numFmtId="177" formatCode="_-* #,##0_-;\-* #,##0_-;_-* &quot;-&quot;??_-;_-@_-"/>
    <numFmt numFmtId="178" formatCode="0.0000%"/>
    <numFmt numFmtId="179" formatCode="0.0%"/>
    <numFmt numFmtId="183" formatCode="_-* #,##0.0000_-;\-* #,##0.000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right" vertical="center"/>
    </xf>
    <xf numFmtId="178" fontId="0" fillId="0" borderId="0" xfId="2" applyNumberFormat="1" applyFont="1">
      <alignment vertical="center"/>
    </xf>
    <xf numFmtId="10" fontId="0" fillId="0" borderId="1" xfId="2" applyNumberFormat="1" applyFont="1" applyBorder="1">
      <alignment vertical="center"/>
    </xf>
    <xf numFmtId="179" fontId="0" fillId="0" borderId="1" xfId="2" applyNumberFormat="1" applyFont="1" applyBorder="1">
      <alignment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0" fontId="0" fillId="0" borderId="0" xfId="0" applyNumberFormat="1">
      <alignment vertical="center"/>
    </xf>
    <xf numFmtId="176" fontId="0" fillId="0" borderId="0" xfId="2" applyNumberFormat="1" applyFont="1" applyAlignment="1">
      <alignment horizontal="center" vertical="center"/>
    </xf>
    <xf numFmtId="41" fontId="5" fillId="4" borderId="1" xfId="1" applyFont="1" applyFill="1" applyBorder="1">
      <alignment vertical="center"/>
    </xf>
    <xf numFmtId="41" fontId="5" fillId="5" borderId="1" xfId="1" applyFont="1" applyFill="1" applyBorder="1">
      <alignment vertical="center"/>
    </xf>
    <xf numFmtId="41" fontId="6" fillId="4" borderId="1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78" fontId="0" fillId="0" borderId="1" xfId="2" applyNumberFormat="1" applyFont="1" applyBorder="1">
      <alignment vertical="center"/>
    </xf>
    <xf numFmtId="183" fontId="0" fillId="0" borderId="0" xfId="1" applyNumberFormat="1" applyFont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5" fillId="5" borderId="1" xfId="2" applyNumberFormat="1" applyFont="1" applyFill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workbookViewId="0">
      <selection activeCell="N25" sqref="N25"/>
    </sheetView>
  </sheetViews>
  <sheetFormatPr defaultRowHeight="16.5" x14ac:dyDescent="0.3"/>
  <cols>
    <col min="2" max="2" width="11.875" style="1" bestFit="1" customWidth="1"/>
    <col min="3" max="3" width="11" style="1" customWidth="1"/>
    <col min="4" max="4" width="13.625" bestFit="1" customWidth="1"/>
    <col min="5" max="5" width="11.875" hidden="1" customWidth="1"/>
    <col min="6" max="6" width="12.375" bestFit="1" customWidth="1"/>
    <col min="7" max="7" width="12.5" customWidth="1"/>
    <col min="8" max="8" width="14" customWidth="1"/>
    <col min="9" max="9" width="12.25" customWidth="1"/>
    <col min="10" max="10" width="11.75" customWidth="1"/>
    <col min="11" max="11" width="13.875" customWidth="1"/>
    <col min="14" max="14" width="21.75" style="21" bestFit="1" customWidth="1"/>
    <col min="20" max="20" width="10.875" bestFit="1" customWidth="1"/>
  </cols>
  <sheetData>
    <row r="1" spans="1:11" ht="35.25" customHeight="1" x14ac:dyDescent="0.3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4" spans="1:11" x14ac:dyDescent="0.3">
      <c r="A4" s="37" t="s">
        <v>31</v>
      </c>
      <c r="B4" s="38"/>
      <c r="C4" s="39"/>
      <c r="D4" s="13" t="s">
        <v>20</v>
      </c>
      <c r="E4" s="13"/>
      <c r="F4" s="13" t="s">
        <v>22</v>
      </c>
      <c r="G4" s="13" t="s">
        <v>1</v>
      </c>
      <c r="I4" s="16"/>
      <c r="J4" s="33" t="s">
        <v>26</v>
      </c>
    </row>
    <row r="5" spans="1:11" x14ac:dyDescent="0.3">
      <c r="A5" s="40"/>
      <c r="B5" s="41"/>
      <c r="C5" s="42"/>
      <c r="D5" s="14">
        <v>31000000</v>
      </c>
      <c r="E5" s="14"/>
      <c r="F5" s="15">
        <v>12</v>
      </c>
      <c r="G5" s="14">
        <v>200000</v>
      </c>
    </row>
    <row r="7" spans="1:11" x14ac:dyDescent="0.3">
      <c r="A7" s="7" t="s">
        <v>0</v>
      </c>
      <c r="B7" s="7" t="s">
        <v>2</v>
      </c>
      <c r="C7" s="7" t="s">
        <v>1</v>
      </c>
      <c r="D7" s="32" t="s">
        <v>21</v>
      </c>
      <c r="E7" s="7" t="s">
        <v>24</v>
      </c>
      <c r="F7" s="7" t="s">
        <v>8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7</v>
      </c>
    </row>
    <row r="8" spans="1:11" x14ac:dyDescent="0.3">
      <c r="A8" s="7">
        <v>1</v>
      </c>
      <c r="B8" s="8">
        <f>D8-C8</f>
        <v>1989853.7140000002</v>
      </c>
      <c r="C8" s="8">
        <f>IF($F$5&gt;=1,$G$5,0)</f>
        <v>200000</v>
      </c>
      <c r="D8" s="46">
        <f>ROUNDUP(IF($F$5&gt;=A8,($D$5+(IF($F$5&gt;12,12,$F$5)*IF($G$5&gt;=200000,200000,$G$5)*$J$32))/(IF($F$5=12,13,$F$5)+(IF($F$5&gt;12,12,$F$5)*$J$32)),0),3)</f>
        <v>2189853.7140000002</v>
      </c>
      <c r="E8" s="11">
        <f>IF($F$5&gt;=A8,D8-IF($G$5&gt;=200000,200000,$G$5),0)</f>
        <v>1989853.7140000002</v>
      </c>
      <c r="F8" s="5">
        <f>E8*$J$26</f>
        <v>94518.051415000009</v>
      </c>
      <c r="G8" s="5">
        <f>E8*$J$27</f>
        <v>71535.241018300017</v>
      </c>
      <c r="H8" s="5">
        <f>E8*$J$28</f>
        <v>9399.7306698046214</v>
      </c>
      <c r="I8" s="5">
        <f>E8*($J$29+$J$30)</f>
        <v>22883.317711</v>
      </c>
      <c r="J8" s="5">
        <f>E8*$J$31</f>
        <v>12655.469621040002</v>
      </c>
      <c r="K8" s="5">
        <f>IF($F$5=12,D8/12,0)</f>
        <v>182487.8095</v>
      </c>
    </row>
    <row r="9" spans="1:11" x14ac:dyDescent="0.3">
      <c r="A9" s="7">
        <v>2</v>
      </c>
      <c r="B9" s="8">
        <f t="shared" ref="B9:B20" si="0">D9-C9</f>
        <v>1989853.7140000002</v>
      </c>
      <c r="C9" s="8">
        <f>IF($F$5&gt;=2,$G$5,0)</f>
        <v>200000</v>
      </c>
      <c r="D9" s="46">
        <f t="shared" ref="D9:D19" si="1">ROUNDUP(IF($F$5&gt;=A9,($D$5+(IF($F$5&gt;12,12,$F$5)*IF($G$5&gt;=200000,200000,$G$5)*$J$32))/(IF($F$5=12,13,$F$5)+(IF($F$5&gt;12,12,$F$5)*$J$32)),0),3)</f>
        <v>2189853.7140000002</v>
      </c>
      <c r="E9" s="11">
        <f t="shared" ref="E9:E19" si="2">IF($F$5&gt;=A9,D9-IF($G$5&gt;=200000,200000,$G$5),0)</f>
        <v>1989853.7140000002</v>
      </c>
      <c r="F9" s="5">
        <f t="shared" ref="F9:F19" si="3">E9*$J$26</f>
        <v>94518.051415000009</v>
      </c>
      <c r="G9" s="5">
        <f t="shared" ref="G9:G19" si="4">E9*$J$27</f>
        <v>71535.241018300017</v>
      </c>
      <c r="H9" s="5">
        <f t="shared" ref="H9:H19" si="5">E9*$J$28</f>
        <v>9399.7306698046214</v>
      </c>
      <c r="I9" s="5">
        <f t="shared" ref="I9:I19" si="6">E9*($J$29+$J$30)</f>
        <v>22883.317711</v>
      </c>
      <c r="J9" s="5">
        <f t="shared" ref="J9:J19" si="7">E9*$J$31</f>
        <v>12655.469621040002</v>
      </c>
      <c r="K9" s="5">
        <f t="shared" ref="K9:K19" si="8">IF($F$5=12,D9/12,0)</f>
        <v>182487.8095</v>
      </c>
    </row>
    <row r="10" spans="1:11" x14ac:dyDescent="0.3">
      <c r="A10" s="7">
        <v>3</v>
      </c>
      <c r="B10" s="8">
        <f t="shared" si="0"/>
        <v>1989853.7140000002</v>
      </c>
      <c r="C10" s="8">
        <f>IF($F$5&gt;=3,$G$5,0)</f>
        <v>200000</v>
      </c>
      <c r="D10" s="46">
        <f t="shared" si="1"/>
        <v>2189853.7140000002</v>
      </c>
      <c r="E10" s="11">
        <f t="shared" si="2"/>
        <v>1989853.7140000002</v>
      </c>
      <c r="F10" s="5">
        <f t="shared" si="3"/>
        <v>94518.051415000009</v>
      </c>
      <c r="G10" s="5">
        <f t="shared" si="4"/>
        <v>71535.241018300017</v>
      </c>
      <c r="H10" s="5">
        <f t="shared" si="5"/>
        <v>9399.7306698046214</v>
      </c>
      <c r="I10" s="5">
        <f t="shared" si="6"/>
        <v>22883.317711</v>
      </c>
      <c r="J10" s="5">
        <f t="shared" si="7"/>
        <v>12655.469621040002</v>
      </c>
      <c r="K10" s="5">
        <f t="shared" si="8"/>
        <v>182487.8095</v>
      </c>
    </row>
    <row r="11" spans="1:11" x14ac:dyDescent="0.3">
      <c r="A11" s="7">
        <v>4</v>
      </c>
      <c r="B11" s="8">
        <f t="shared" si="0"/>
        <v>1989853.7140000002</v>
      </c>
      <c r="C11" s="8">
        <f>IF($F$5&gt;=4,$G$5,0)</f>
        <v>200000</v>
      </c>
      <c r="D11" s="46">
        <f t="shared" si="1"/>
        <v>2189853.7140000002</v>
      </c>
      <c r="E11" s="11">
        <f t="shared" si="2"/>
        <v>1989853.7140000002</v>
      </c>
      <c r="F11" s="5">
        <f t="shared" si="3"/>
        <v>94518.051415000009</v>
      </c>
      <c r="G11" s="5">
        <f t="shared" si="4"/>
        <v>71535.241018300017</v>
      </c>
      <c r="H11" s="5">
        <f t="shared" si="5"/>
        <v>9399.7306698046214</v>
      </c>
      <c r="I11" s="5">
        <f t="shared" si="6"/>
        <v>22883.317711</v>
      </c>
      <c r="J11" s="5">
        <f t="shared" si="7"/>
        <v>12655.469621040002</v>
      </c>
      <c r="K11" s="5">
        <f t="shared" si="8"/>
        <v>182487.8095</v>
      </c>
    </row>
    <row r="12" spans="1:11" x14ac:dyDescent="0.3">
      <c r="A12" s="7">
        <v>5</v>
      </c>
      <c r="B12" s="8">
        <f t="shared" si="0"/>
        <v>1989853.7140000002</v>
      </c>
      <c r="C12" s="8">
        <f>IF($F$5&gt;=5,$G$5,0)</f>
        <v>200000</v>
      </c>
      <c r="D12" s="46">
        <f t="shared" si="1"/>
        <v>2189853.7140000002</v>
      </c>
      <c r="E12" s="11">
        <f t="shared" si="2"/>
        <v>1989853.7140000002</v>
      </c>
      <c r="F12" s="5">
        <f t="shared" si="3"/>
        <v>94518.051415000009</v>
      </c>
      <c r="G12" s="5">
        <f t="shared" si="4"/>
        <v>71535.241018300017</v>
      </c>
      <c r="H12" s="5">
        <f t="shared" si="5"/>
        <v>9399.7306698046214</v>
      </c>
      <c r="I12" s="5">
        <f t="shared" si="6"/>
        <v>22883.317711</v>
      </c>
      <c r="J12" s="5">
        <f t="shared" si="7"/>
        <v>12655.469621040002</v>
      </c>
      <c r="K12" s="5">
        <f t="shared" si="8"/>
        <v>182487.8095</v>
      </c>
    </row>
    <row r="13" spans="1:11" x14ac:dyDescent="0.3">
      <c r="A13" s="7">
        <v>6</v>
      </c>
      <c r="B13" s="8">
        <f t="shared" si="0"/>
        <v>1989853.7140000002</v>
      </c>
      <c r="C13" s="8">
        <f>IF($F$5&gt;=6,$G$5,0)</f>
        <v>200000</v>
      </c>
      <c r="D13" s="46">
        <f t="shared" si="1"/>
        <v>2189853.7140000002</v>
      </c>
      <c r="E13" s="11">
        <f t="shared" si="2"/>
        <v>1989853.7140000002</v>
      </c>
      <c r="F13" s="5">
        <f t="shared" si="3"/>
        <v>94518.051415000009</v>
      </c>
      <c r="G13" s="5">
        <f t="shared" si="4"/>
        <v>71535.241018300017</v>
      </c>
      <c r="H13" s="5">
        <f t="shared" si="5"/>
        <v>9399.7306698046214</v>
      </c>
      <c r="I13" s="5">
        <f t="shared" si="6"/>
        <v>22883.317711</v>
      </c>
      <c r="J13" s="5">
        <f t="shared" si="7"/>
        <v>12655.469621040002</v>
      </c>
      <c r="K13" s="5">
        <f t="shared" si="8"/>
        <v>182487.8095</v>
      </c>
    </row>
    <row r="14" spans="1:11" x14ac:dyDescent="0.3">
      <c r="A14" s="7">
        <v>7</v>
      </c>
      <c r="B14" s="8">
        <f t="shared" si="0"/>
        <v>1989853.7140000002</v>
      </c>
      <c r="C14" s="8">
        <f>IF($F$5&gt;=7,$G$5,0)</f>
        <v>200000</v>
      </c>
      <c r="D14" s="46">
        <f t="shared" si="1"/>
        <v>2189853.7140000002</v>
      </c>
      <c r="E14" s="11">
        <f t="shared" si="2"/>
        <v>1989853.7140000002</v>
      </c>
      <c r="F14" s="5">
        <f t="shared" si="3"/>
        <v>94518.051415000009</v>
      </c>
      <c r="G14" s="5">
        <f t="shared" si="4"/>
        <v>71535.241018300017</v>
      </c>
      <c r="H14" s="5">
        <f t="shared" si="5"/>
        <v>9399.7306698046214</v>
      </c>
      <c r="I14" s="5">
        <f t="shared" si="6"/>
        <v>22883.317711</v>
      </c>
      <c r="J14" s="5">
        <f t="shared" si="7"/>
        <v>12655.469621040002</v>
      </c>
      <c r="K14" s="5">
        <f t="shared" si="8"/>
        <v>182487.8095</v>
      </c>
    </row>
    <row r="15" spans="1:11" x14ac:dyDescent="0.3">
      <c r="A15" s="7">
        <v>8</v>
      </c>
      <c r="B15" s="8">
        <f t="shared" si="0"/>
        <v>1989853.7140000002</v>
      </c>
      <c r="C15" s="8">
        <f>IF($F$5&gt;=8,$G$5,0)</f>
        <v>200000</v>
      </c>
      <c r="D15" s="46">
        <f t="shared" si="1"/>
        <v>2189853.7140000002</v>
      </c>
      <c r="E15" s="11">
        <f t="shared" si="2"/>
        <v>1989853.7140000002</v>
      </c>
      <c r="F15" s="5">
        <f t="shared" si="3"/>
        <v>94518.051415000009</v>
      </c>
      <c r="G15" s="5">
        <f t="shared" si="4"/>
        <v>71535.241018300017</v>
      </c>
      <c r="H15" s="5">
        <f t="shared" si="5"/>
        <v>9399.7306698046214</v>
      </c>
      <c r="I15" s="5">
        <f t="shared" si="6"/>
        <v>22883.317711</v>
      </c>
      <c r="J15" s="5">
        <f t="shared" si="7"/>
        <v>12655.469621040002</v>
      </c>
      <c r="K15" s="5">
        <f t="shared" si="8"/>
        <v>182487.8095</v>
      </c>
    </row>
    <row r="16" spans="1:11" x14ac:dyDescent="0.3">
      <c r="A16" s="7">
        <v>9</v>
      </c>
      <c r="B16" s="8">
        <f t="shared" si="0"/>
        <v>1989853.7140000002</v>
      </c>
      <c r="C16" s="8">
        <f>IF($F$5&gt;=9,$G$5,0)</f>
        <v>200000</v>
      </c>
      <c r="D16" s="46">
        <f t="shared" si="1"/>
        <v>2189853.7140000002</v>
      </c>
      <c r="E16" s="11">
        <f t="shared" si="2"/>
        <v>1989853.7140000002</v>
      </c>
      <c r="F16" s="5">
        <f t="shared" si="3"/>
        <v>94518.051415000009</v>
      </c>
      <c r="G16" s="5">
        <f t="shared" si="4"/>
        <v>71535.241018300017</v>
      </c>
      <c r="H16" s="5">
        <f t="shared" si="5"/>
        <v>9399.7306698046214</v>
      </c>
      <c r="I16" s="5">
        <f t="shared" si="6"/>
        <v>22883.317711</v>
      </c>
      <c r="J16" s="5">
        <f t="shared" si="7"/>
        <v>12655.469621040002</v>
      </c>
      <c r="K16" s="5">
        <f t="shared" si="8"/>
        <v>182487.8095</v>
      </c>
    </row>
    <row r="17" spans="1:20" x14ac:dyDescent="0.3">
      <c r="A17" s="7">
        <v>10</v>
      </c>
      <c r="B17" s="8">
        <f t="shared" si="0"/>
        <v>1989853.7140000002</v>
      </c>
      <c r="C17" s="8">
        <f>IF($F$5&gt;=10,$G$5,0)</f>
        <v>200000</v>
      </c>
      <c r="D17" s="46">
        <f t="shared" si="1"/>
        <v>2189853.7140000002</v>
      </c>
      <c r="E17" s="11">
        <f t="shared" si="2"/>
        <v>1989853.7140000002</v>
      </c>
      <c r="F17" s="5">
        <f t="shared" si="3"/>
        <v>94518.051415000009</v>
      </c>
      <c r="G17" s="5">
        <f t="shared" si="4"/>
        <v>71535.241018300017</v>
      </c>
      <c r="H17" s="5">
        <f t="shared" si="5"/>
        <v>9399.7306698046214</v>
      </c>
      <c r="I17" s="5">
        <f t="shared" si="6"/>
        <v>22883.317711</v>
      </c>
      <c r="J17" s="5">
        <f t="shared" si="7"/>
        <v>12655.469621040002</v>
      </c>
      <c r="K17" s="5">
        <f t="shared" si="8"/>
        <v>182487.8095</v>
      </c>
    </row>
    <row r="18" spans="1:20" x14ac:dyDescent="0.3">
      <c r="A18" s="7">
        <v>11</v>
      </c>
      <c r="B18" s="8">
        <f t="shared" si="0"/>
        <v>1989853.7140000002</v>
      </c>
      <c r="C18" s="8">
        <f>IF($F$5&gt;=11,$G$5,0)</f>
        <v>200000</v>
      </c>
      <c r="D18" s="46">
        <f t="shared" si="1"/>
        <v>2189853.7140000002</v>
      </c>
      <c r="E18" s="11">
        <f t="shared" si="2"/>
        <v>1989853.7140000002</v>
      </c>
      <c r="F18" s="5">
        <f t="shared" si="3"/>
        <v>94518.051415000009</v>
      </c>
      <c r="G18" s="5">
        <f t="shared" si="4"/>
        <v>71535.241018300017</v>
      </c>
      <c r="H18" s="5">
        <f t="shared" si="5"/>
        <v>9399.7306698046214</v>
      </c>
      <c r="I18" s="5">
        <f t="shared" si="6"/>
        <v>22883.317711</v>
      </c>
      <c r="J18" s="5">
        <f t="shared" si="7"/>
        <v>12655.469621040002</v>
      </c>
      <c r="K18" s="5">
        <f t="shared" si="8"/>
        <v>182487.8095</v>
      </c>
    </row>
    <row r="19" spans="1:20" x14ac:dyDescent="0.3">
      <c r="A19" s="7">
        <v>12</v>
      </c>
      <c r="B19" s="8">
        <f t="shared" si="0"/>
        <v>1989853.7140000002</v>
      </c>
      <c r="C19" s="8">
        <f>IF($F$5&gt;=12,$G$5,0)</f>
        <v>200000</v>
      </c>
      <c r="D19" s="46">
        <f t="shared" si="1"/>
        <v>2189853.7140000002</v>
      </c>
      <c r="E19" s="11">
        <f t="shared" si="2"/>
        <v>1989853.7140000002</v>
      </c>
      <c r="F19" s="5">
        <f t="shared" si="3"/>
        <v>94518.051415000009</v>
      </c>
      <c r="G19" s="5">
        <f t="shared" si="4"/>
        <v>71535.241018300017</v>
      </c>
      <c r="H19" s="5">
        <f t="shared" si="5"/>
        <v>9399.7306698046214</v>
      </c>
      <c r="I19" s="5">
        <f t="shared" si="6"/>
        <v>22883.317711</v>
      </c>
      <c r="J19" s="5">
        <f t="shared" si="7"/>
        <v>12655.469621040002</v>
      </c>
      <c r="K19" s="5">
        <f t="shared" si="8"/>
        <v>182487.8095</v>
      </c>
    </row>
    <row r="20" spans="1:20" x14ac:dyDescent="0.3">
      <c r="A20" s="7" t="s">
        <v>15</v>
      </c>
      <c r="B20" s="8">
        <f t="shared" si="0"/>
        <v>23878244.568000007</v>
      </c>
      <c r="C20" s="9">
        <f t="shared" ref="C20:K20" si="9">SUM(C8:C19)</f>
        <v>2400000</v>
      </c>
      <c r="D20" s="46">
        <f>SUM(D8:D19)</f>
        <v>26278244.568000007</v>
      </c>
      <c r="E20" s="8">
        <f>SUM(E8:E19)</f>
        <v>23878244.568000004</v>
      </c>
      <c r="F20" s="9">
        <f t="shared" si="9"/>
        <v>1134216.6169800002</v>
      </c>
      <c r="G20" s="9">
        <f t="shared" si="9"/>
        <v>858422.89221960038</v>
      </c>
      <c r="H20" s="9">
        <f t="shared" si="9"/>
        <v>112796.76803765543</v>
      </c>
      <c r="I20" s="9">
        <f t="shared" si="9"/>
        <v>274599.81253200007</v>
      </c>
      <c r="J20" s="9">
        <f t="shared" si="9"/>
        <v>151865.63545248003</v>
      </c>
      <c r="K20" s="9">
        <f t="shared" si="9"/>
        <v>2189853.7140000002</v>
      </c>
    </row>
    <row r="21" spans="1:20" x14ac:dyDescent="0.3">
      <c r="A21" s="23" t="s">
        <v>38</v>
      </c>
      <c r="B21" s="23"/>
      <c r="C21" s="22"/>
      <c r="D21" s="2"/>
      <c r="E21" s="2"/>
      <c r="F21" s="2"/>
      <c r="G21" s="2"/>
      <c r="H21" s="2"/>
      <c r="I21" s="2"/>
      <c r="J21" s="2"/>
      <c r="K21" s="10">
        <f>B20+F20+G20+H20+I20+J20+K20+C20</f>
        <v>31000000.007221743</v>
      </c>
    </row>
    <row r="24" spans="1:20" x14ac:dyDescent="0.3">
      <c r="K24" s="17" t="s">
        <v>39</v>
      </c>
      <c r="T24" s="21"/>
    </row>
    <row r="25" spans="1:20" x14ac:dyDescent="0.3">
      <c r="G25" s="34" t="s">
        <v>18</v>
      </c>
      <c r="H25" s="34"/>
      <c r="I25" s="12" t="s">
        <v>16</v>
      </c>
      <c r="J25" s="48" t="s">
        <v>17</v>
      </c>
      <c r="K25" s="4" t="s">
        <v>15</v>
      </c>
    </row>
    <row r="26" spans="1:20" x14ac:dyDescent="0.3">
      <c r="G26" s="34" t="s">
        <v>8</v>
      </c>
      <c r="H26" s="34"/>
      <c r="I26" s="6">
        <v>4.7500000000000001E-2</v>
      </c>
      <c r="J26" s="49">
        <v>4.7500000000000001E-2</v>
      </c>
      <c r="K26" s="20">
        <f>I26+J26</f>
        <v>9.5000000000000001E-2</v>
      </c>
    </row>
    <row r="27" spans="1:20" x14ac:dyDescent="0.3">
      <c r="G27" s="34" t="s">
        <v>3</v>
      </c>
      <c r="H27" s="2" t="s">
        <v>3</v>
      </c>
      <c r="I27" s="6">
        <v>3.5950000000000003E-2</v>
      </c>
      <c r="J27" s="49">
        <v>3.5950000000000003E-2</v>
      </c>
      <c r="K27" s="19">
        <f t="shared" ref="K27:K31" si="10">I27+J27</f>
        <v>7.1900000000000006E-2</v>
      </c>
    </row>
    <row r="28" spans="1:20" x14ac:dyDescent="0.3">
      <c r="G28" s="34"/>
      <c r="H28" s="2" t="s">
        <v>4</v>
      </c>
      <c r="I28" s="6">
        <f>I27*I33</f>
        <v>4.72383E-3</v>
      </c>
      <c r="J28" s="49">
        <f>J27*I33</f>
        <v>4.72383E-3</v>
      </c>
      <c r="K28" s="44">
        <f t="shared" si="10"/>
        <v>9.4476600000000001E-3</v>
      </c>
    </row>
    <row r="29" spans="1:20" x14ac:dyDescent="0.3">
      <c r="B29" s="28"/>
      <c r="G29" s="34" t="s">
        <v>5</v>
      </c>
      <c r="H29" s="2" t="s">
        <v>12</v>
      </c>
      <c r="I29" s="6">
        <v>8.9999999999999993E-3</v>
      </c>
      <c r="J29" s="49">
        <v>8.9999999999999993E-3</v>
      </c>
      <c r="K29" s="19">
        <f t="shared" si="10"/>
        <v>1.7999999999999999E-2</v>
      </c>
      <c r="N29" s="45"/>
    </row>
    <row r="30" spans="1:20" x14ac:dyDescent="0.3">
      <c r="G30" s="34"/>
      <c r="H30" s="2" t="s">
        <v>13</v>
      </c>
      <c r="I30" s="6">
        <v>0</v>
      </c>
      <c r="J30" s="49">
        <v>2.5000000000000001E-3</v>
      </c>
      <c r="K30" s="19">
        <f t="shared" si="10"/>
        <v>2.5000000000000001E-3</v>
      </c>
      <c r="N30" s="45"/>
    </row>
    <row r="31" spans="1:20" x14ac:dyDescent="0.3">
      <c r="G31" s="34" t="s">
        <v>6</v>
      </c>
      <c r="H31" s="34"/>
      <c r="I31" s="6">
        <v>0</v>
      </c>
      <c r="J31" s="49">
        <v>6.3600000000000002E-3</v>
      </c>
      <c r="K31" s="6">
        <f t="shared" si="10"/>
        <v>6.3600000000000002E-3</v>
      </c>
    </row>
    <row r="32" spans="1:20" x14ac:dyDescent="0.3">
      <c r="G32" s="34" t="s">
        <v>15</v>
      </c>
      <c r="H32" s="34"/>
      <c r="I32" s="6">
        <f>SUM(I26:I31)</f>
        <v>9.7173829999999989E-2</v>
      </c>
      <c r="J32" s="49">
        <f>SUM(J26:J31)</f>
        <v>0.10603383</v>
      </c>
      <c r="K32" s="6">
        <f>SUM(I32:J32)</f>
        <v>0.20320765999999998</v>
      </c>
    </row>
    <row r="33" spans="7:9" x14ac:dyDescent="0.3">
      <c r="G33" t="s">
        <v>30</v>
      </c>
      <c r="I33" s="27">
        <v>0.13139999999999999</v>
      </c>
    </row>
  </sheetData>
  <mergeCells count="8">
    <mergeCell ref="G29:G30"/>
    <mergeCell ref="G31:H31"/>
    <mergeCell ref="G32:H32"/>
    <mergeCell ref="A1:K1"/>
    <mergeCell ref="A4:C5"/>
    <mergeCell ref="G25:H25"/>
    <mergeCell ref="G26:H26"/>
    <mergeCell ref="G27:G28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D36" sqref="D36"/>
    </sheetView>
  </sheetViews>
  <sheetFormatPr defaultRowHeight="16.5" x14ac:dyDescent="0.3"/>
  <cols>
    <col min="2" max="2" width="11.875" style="1" bestFit="1" customWidth="1"/>
    <col min="3" max="3" width="11" style="1" customWidth="1"/>
    <col min="4" max="4" width="13.625" bestFit="1" customWidth="1"/>
    <col min="5" max="5" width="11.875" hidden="1" customWidth="1"/>
    <col min="6" max="6" width="12.375" bestFit="1" customWidth="1"/>
    <col min="7" max="7" width="12.5" customWidth="1"/>
    <col min="8" max="8" width="14" customWidth="1"/>
    <col min="9" max="9" width="12.25" customWidth="1"/>
    <col min="10" max="10" width="11.75" customWidth="1"/>
    <col min="11" max="11" width="13.875" customWidth="1"/>
    <col min="14" max="14" width="21.75" bestFit="1" customWidth="1"/>
    <col min="15" max="15" width="33.875" bestFit="1" customWidth="1"/>
  </cols>
  <sheetData>
    <row r="1" spans="1:14" ht="35.25" customHeight="1" x14ac:dyDescent="0.3">
      <c r="A1" s="35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4" spans="1:14" x14ac:dyDescent="0.3">
      <c r="A4" s="37" t="s">
        <v>28</v>
      </c>
      <c r="B4" s="38"/>
      <c r="C4" s="39"/>
      <c r="D4" s="13" t="s">
        <v>27</v>
      </c>
      <c r="E4" s="13"/>
      <c r="F4" s="13" t="s">
        <v>22</v>
      </c>
      <c r="G4" s="13" t="s">
        <v>23</v>
      </c>
      <c r="I4" s="16"/>
      <c r="J4" s="33" t="s">
        <v>26</v>
      </c>
    </row>
    <row r="5" spans="1:14" x14ac:dyDescent="0.3">
      <c r="A5" s="40"/>
      <c r="B5" s="41"/>
      <c r="C5" s="42"/>
      <c r="D5" s="14">
        <v>2156880</v>
      </c>
      <c r="E5" s="14"/>
      <c r="F5" s="15">
        <v>12</v>
      </c>
      <c r="G5" s="14">
        <v>200000</v>
      </c>
    </row>
    <row r="6" spans="1:14" x14ac:dyDescent="0.3">
      <c r="M6" s="43" t="s">
        <v>32</v>
      </c>
      <c r="N6" s="43"/>
    </row>
    <row r="7" spans="1:14" x14ac:dyDescent="0.3">
      <c r="A7" s="7" t="s">
        <v>0</v>
      </c>
      <c r="B7" s="7" t="s">
        <v>2</v>
      </c>
      <c r="C7" s="7" t="s">
        <v>1</v>
      </c>
      <c r="D7" s="32" t="s">
        <v>21</v>
      </c>
      <c r="E7" s="7" t="s">
        <v>24</v>
      </c>
      <c r="F7" s="7" t="s">
        <v>19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7</v>
      </c>
      <c r="M7" s="7" t="s">
        <v>33</v>
      </c>
      <c r="N7" s="7" t="s">
        <v>7</v>
      </c>
    </row>
    <row r="8" spans="1:14" x14ac:dyDescent="0.3">
      <c r="A8" s="7">
        <v>1</v>
      </c>
      <c r="B8" s="8">
        <f>D8-C8</f>
        <v>1956880</v>
      </c>
      <c r="C8" s="8">
        <f>IF($F$5&gt;=1,$G$5,0)</f>
        <v>200000</v>
      </c>
      <c r="D8" s="46">
        <f>IF($F$5&gt;=A8,$D$5,0)</f>
        <v>2156880</v>
      </c>
      <c r="E8" s="11">
        <f>IF($F$5&gt;=A8,D8-IF($G$5&gt;=200000,200000,$G$5),0)</f>
        <v>1956880</v>
      </c>
      <c r="F8" s="5">
        <f>E8*$J$26</f>
        <v>92951.8</v>
      </c>
      <c r="G8" s="5">
        <f>E8*$J$27</f>
        <v>70349.83600000001</v>
      </c>
      <c r="H8" s="5">
        <f>E8*$J$28</f>
        <v>9243.9684503999997</v>
      </c>
      <c r="I8" s="5">
        <f>E8*($J$29+$J$30)</f>
        <v>22504.12</v>
      </c>
      <c r="J8" s="5">
        <f>E8*$J$31</f>
        <v>12445.756800000001</v>
      </c>
      <c r="K8" s="5">
        <f t="shared" ref="K8:K19" si="0">IF($F$5=12,D8/12,0)</f>
        <v>179740</v>
      </c>
      <c r="M8" s="10">
        <f>F5</f>
        <v>12</v>
      </c>
      <c r="N8" s="29">
        <f>D5/12*M8</f>
        <v>2156880</v>
      </c>
    </row>
    <row r="9" spans="1:14" x14ac:dyDescent="0.3">
      <c r="A9" s="7">
        <v>2</v>
      </c>
      <c r="B9" s="8">
        <f t="shared" ref="B9:B20" si="1">D9-C9</f>
        <v>1956880</v>
      </c>
      <c r="C9" s="8">
        <f>IF($F$5&gt;=2,$G$5,0)</f>
        <v>200000</v>
      </c>
      <c r="D9" s="46">
        <f t="shared" ref="D9:D19" si="2">IF($F$5&gt;=A9,$D$5,0)</f>
        <v>2156880</v>
      </c>
      <c r="E9" s="11">
        <f t="shared" ref="E9:E19" si="3">IF($F$5&gt;=A9,D9-IF($G$5&gt;=200000,200000,$G$5),0)</f>
        <v>1956880</v>
      </c>
      <c r="F9" s="5">
        <f t="shared" ref="F9:F19" si="4">E9*$J$26</f>
        <v>92951.8</v>
      </c>
      <c r="G9" s="5">
        <f t="shared" ref="G9:G19" si="5">E9*$J$27</f>
        <v>70349.83600000001</v>
      </c>
      <c r="H9" s="5">
        <f t="shared" ref="H9:H19" si="6">E9*$J$28</f>
        <v>9243.9684503999997</v>
      </c>
      <c r="I9" s="5">
        <f t="shared" ref="I9:I19" si="7">E9*($J$29+$J$30)</f>
        <v>22504.12</v>
      </c>
      <c r="J9" s="5">
        <f t="shared" ref="J9:J19" si="8">E9*$J$31</f>
        <v>12445.756800000001</v>
      </c>
      <c r="K9" s="5">
        <f t="shared" si="0"/>
        <v>179740</v>
      </c>
    </row>
    <row r="10" spans="1:14" x14ac:dyDescent="0.3">
      <c r="A10" s="7">
        <v>3</v>
      </c>
      <c r="B10" s="8">
        <f t="shared" si="1"/>
        <v>1956880</v>
      </c>
      <c r="C10" s="8">
        <f>IF($F$5&gt;=3,$G$5,0)</f>
        <v>200000</v>
      </c>
      <c r="D10" s="46">
        <f t="shared" si="2"/>
        <v>2156880</v>
      </c>
      <c r="E10" s="11">
        <f t="shared" si="3"/>
        <v>1956880</v>
      </c>
      <c r="F10" s="5">
        <f t="shared" si="4"/>
        <v>92951.8</v>
      </c>
      <c r="G10" s="5">
        <f t="shared" si="5"/>
        <v>70349.83600000001</v>
      </c>
      <c r="H10" s="5">
        <f t="shared" si="6"/>
        <v>9243.9684503999997</v>
      </c>
      <c r="I10" s="5">
        <f t="shared" si="7"/>
        <v>22504.12</v>
      </c>
      <c r="J10" s="5">
        <f t="shared" si="8"/>
        <v>12445.756800000001</v>
      </c>
      <c r="K10" s="5">
        <f t="shared" si="0"/>
        <v>179740</v>
      </c>
    </row>
    <row r="11" spans="1:14" x14ac:dyDescent="0.3">
      <c r="A11" s="7">
        <v>4</v>
      </c>
      <c r="B11" s="8">
        <f t="shared" si="1"/>
        <v>1956880</v>
      </c>
      <c r="C11" s="8">
        <f>IF($F$5&gt;=4,$G$5,0)</f>
        <v>200000</v>
      </c>
      <c r="D11" s="46">
        <f t="shared" si="2"/>
        <v>2156880</v>
      </c>
      <c r="E11" s="11">
        <f t="shared" si="3"/>
        <v>1956880</v>
      </c>
      <c r="F11" s="5">
        <f t="shared" si="4"/>
        <v>92951.8</v>
      </c>
      <c r="G11" s="5">
        <f t="shared" si="5"/>
        <v>70349.83600000001</v>
      </c>
      <c r="H11" s="5">
        <f t="shared" si="6"/>
        <v>9243.9684503999997</v>
      </c>
      <c r="I11" s="5">
        <f t="shared" si="7"/>
        <v>22504.12</v>
      </c>
      <c r="J11" s="5">
        <f t="shared" si="8"/>
        <v>12445.756800000001</v>
      </c>
      <c r="K11" s="5">
        <f t="shared" si="0"/>
        <v>179740</v>
      </c>
    </row>
    <row r="12" spans="1:14" x14ac:dyDescent="0.3">
      <c r="A12" s="7">
        <v>5</v>
      </c>
      <c r="B12" s="8">
        <f t="shared" si="1"/>
        <v>1956880</v>
      </c>
      <c r="C12" s="8">
        <f>IF($F$5&gt;=5,$G$5,0)</f>
        <v>200000</v>
      </c>
      <c r="D12" s="46">
        <f t="shared" si="2"/>
        <v>2156880</v>
      </c>
      <c r="E12" s="11">
        <f t="shared" si="3"/>
        <v>1956880</v>
      </c>
      <c r="F12" s="5">
        <f t="shared" si="4"/>
        <v>92951.8</v>
      </c>
      <c r="G12" s="5">
        <f t="shared" si="5"/>
        <v>70349.83600000001</v>
      </c>
      <c r="H12" s="5">
        <f t="shared" si="6"/>
        <v>9243.9684503999997</v>
      </c>
      <c r="I12" s="5">
        <f t="shared" si="7"/>
        <v>22504.12</v>
      </c>
      <c r="J12" s="5">
        <f t="shared" si="8"/>
        <v>12445.756800000001</v>
      </c>
      <c r="K12" s="5">
        <f t="shared" si="0"/>
        <v>179740</v>
      </c>
    </row>
    <row r="13" spans="1:14" x14ac:dyDescent="0.3">
      <c r="A13" s="7">
        <v>6</v>
      </c>
      <c r="B13" s="8">
        <f t="shared" si="1"/>
        <v>1956880</v>
      </c>
      <c r="C13" s="8">
        <f>IF($F$5&gt;=6,$G$5,0)</f>
        <v>200000</v>
      </c>
      <c r="D13" s="46">
        <f t="shared" si="2"/>
        <v>2156880</v>
      </c>
      <c r="E13" s="11">
        <f t="shared" si="3"/>
        <v>1956880</v>
      </c>
      <c r="F13" s="5">
        <f t="shared" si="4"/>
        <v>92951.8</v>
      </c>
      <c r="G13" s="5">
        <f t="shared" si="5"/>
        <v>70349.83600000001</v>
      </c>
      <c r="H13" s="5">
        <f t="shared" si="6"/>
        <v>9243.9684503999997</v>
      </c>
      <c r="I13" s="5">
        <f t="shared" si="7"/>
        <v>22504.12</v>
      </c>
      <c r="J13" s="5">
        <f t="shared" si="8"/>
        <v>12445.756800000001</v>
      </c>
      <c r="K13" s="5">
        <f t="shared" si="0"/>
        <v>179740</v>
      </c>
    </row>
    <row r="14" spans="1:14" x14ac:dyDescent="0.3">
      <c r="A14" s="7">
        <v>7</v>
      </c>
      <c r="B14" s="8">
        <f t="shared" si="1"/>
        <v>1956880</v>
      </c>
      <c r="C14" s="8">
        <f>IF($F$5&gt;=7,$G$5,0)</f>
        <v>200000</v>
      </c>
      <c r="D14" s="46">
        <f t="shared" si="2"/>
        <v>2156880</v>
      </c>
      <c r="E14" s="11">
        <f t="shared" si="3"/>
        <v>1956880</v>
      </c>
      <c r="F14" s="5">
        <f t="shared" si="4"/>
        <v>92951.8</v>
      </c>
      <c r="G14" s="5">
        <f t="shared" si="5"/>
        <v>70349.83600000001</v>
      </c>
      <c r="H14" s="5">
        <f t="shared" si="6"/>
        <v>9243.9684503999997</v>
      </c>
      <c r="I14" s="5">
        <f t="shared" si="7"/>
        <v>22504.12</v>
      </c>
      <c r="J14" s="5">
        <f t="shared" si="8"/>
        <v>12445.756800000001</v>
      </c>
      <c r="K14" s="5">
        <f t="shared" si="0"/>
        <v>179740</v>
      </c>
    </row>
    <row r="15" spans="1:14" x14ac:dyDescent="0.3">
      <c r="A15" s="7">
        <v>8</v>
      </c>
      <c r="B15" s="8">
        <f t="shared" si="1"/>
        <v>1956880</v>
      </c>
      <c r="C15" s="8">
        <f>IF($F$5&gt;=8,$G$5,0)</f>
        <v>200000</v>
      </c>
      <c r="D15" s="46">
        <f t="shared" si="2"/>
        <v>2156880</v>
      </c>
      <c r="E15" s="11">
        <f t="shared" si="3"/>
        <v>1956880</v>
      </c>
      <c r="F15" s="5">
        <f t="shared" si="4"/>
        <v>92951.8</v>
      </c>
      <c r="G15" s="5">
        <f t="shared" si="5"/>
        <v>70349.83600000001</v>
      </c>
      <c r="H15" s="5">
        <f t="shared" si="6"/>
        <v>9243.9684503999997</v>
      </c>
      <c r="I15" s="5">
        <f t="shared" si="7"/>
        <v>22504.12</v>
      </c>
      <c r="J15" s="5">
        <f t="shared" si="8"/>
        <v>12445.756800000001</v>
      </c>
      <c r="K15" s="5">
        <f t="shared" si="0"/>
        <v>179740</v>
      </c>
    </row>
    <row r="16" spans="1:14" x14ac:dyDescent="0.3">
      <c r="A16" s="7">
        <v>9</v>
      </c>
      <c r="B16" s="8">
        <f t="shared" si="1"/>
        <v>1956880</v>
      </c>
      <c r="C16" s="8">
        <f>IF($F$5&gt;=9,$G$5,0)</f>
        <v>200000</v>
      </c>
      <c r="D16" s="46">
        <f t="shared" si="2"/>
        <v>2156880</v>
      </c>
      <c r="E16" s="11">
        <f t="shared" si="3"/>
        <v>1956880</v>
      </c>
      <c r="F16" s="5">
        <f t="shared" si="4"/>
        <v>92951.8</v>
      </c>
      <c r="G16" s="5">
        <f t="shared" si="5"/>
        <v>70349.83600000001</v>
      </c>
      <c r="H16" s="5">
        <f t="shared" si="6"/>
        <v>9243.9684503999997</v>
      </c>
      <c r="I16" s="5">
        <f t="shared" si="7"/>
        <v>22504.12</v>
      </c>
      <c r="J16" s="5">
        <f t="shared" si="8"/>
        <v>12445.756800000001</v>
      </c>
      <c r="K16" s="5">
        <f t="shared" si="0"/>
        <v>179740</v>
      </c>
    </row>
    <row r="17" spans="1:15" x14ac:dyDescent="0.3">
      <c r="A17" s="7">
        <v>10</v>
      </c>
      <c r="B17" s="8">
        <f t="shared" si="1"/>
        <v>1956880</v>
      </c>
      <c r="C17" s="8">
        <f>IF($F$5&gt;=10,$G$5,0)</f>
        <v>200000</v>
      </c>
      <c r="D17" s="46">
        <f t="shared" si="2"/>
        <v>2156880</v>
      </c>
      <c r="E17" s="11">
        <f t="shared" si="3"/>
        <v>1956880</v>
      </c>
      <c r="F17" s="5">
        <f t="shared" si="4"/>
        <v>92951.8</v>
      </c>
      <c r="G17" s="5">
        <f t="shared" si="5"/>
        <v>70349.83600000001</v>
      </c>
      <c r="H17" s="5">
        <f t="shared" si="6"/>
        <v>9243.9684503999997</v>
      </c>
      <c r="I17" s="5">
        <f t="shared" si="7"/>
        <v>22504.12</v>
      </c>
      <c r="J17" s="5">
        <f t="shared" si="8"/>
        <v>12445.756800000001</v>
      </c>
      <c r="K17" s="5">
        <f t="shared" si="0"/>
        <v>179740</v>
      </c>
    </row>
    <row r="18" spans="1:15" x14ac:dyDescent="0.3">
      <c r="A18" s="7">
        <v>11</v>
      </c>
      <c r="B18" s="8">
        <f t="shared" si="1"/>
        <v>1956880</v>
      </c>
      <c r="C18" s="8">
        <f>IF($F$5&gt;=11,$G$5,0)</f>
        <v>200000</v>
      </c>
      <c r="D18" s="46">
        <f t="shared" si="2"/>
        <v>2156880</v>
      </c>
      <c r="E18" s="11">
        <f t="shared" si="3"/>
        <v>1956880</v>
      </c>
      <c r="F18" s="5">
        <f t="shared" si="4"/>
        <v>92951.8</v>
      </c>
      <c r="G18" s="5">
        <f t="shared" si="5"/>
        <v>70349.83600000001</v>
      </c>
      <c r="H18" s="5">
        <f t="shared" si="6"/>
        <v>9243.9684503999997</v>
      </c>
      <c r="I18" s="5">
        <f t="shared" si="7"/>
        <v>22504.12</v>
      </c>
      <c r="J18" s="5">
        <f t="shared" si="8"/>
        <v>12445.756800000001</v>
      </c>
      <c r="K18" s="5">
        <f t="shared" si="0"/>
        <v>179740</v>
      </c>
    </row>
    <row r="19" spans="1:15" x14ac:dyDescent="0.3">
      <c r="A19" s="7">
        <v>12</v>
      </c>
      <c r="B19" s="8">
        <f t="shared" si="1"/>
        <v>1956880</v>
      </c>
      <c r="C19" s="8">
        <f>IF($F$5&gt;=12,$G$5,0)</f>
        <v>200000</v>
      </c>
      <c r="D19" s="46">
        <f t="shared" si="2"/>
        <v>2156880</v>
      </c>
      <c r="E19" s="11">
        <f t="shared" si="3"/>
        <v>1956880</v>
      </c>
      <c r="F19" s="5">
        <f t="shared" si="4"/>
        <v>92951.8</v>
      </c>
      <c r="G19" s="5">
        <f t="shared" si="5"/>
        <v>70349.83600000001</v>
      </c>
      <c r="H19" s="5">
        <f t="shared" si="6"/>
        <v>9243.9684503999997</v>
      </c>
      <c r="I19" s="5">
        <f t="shared" si="7"/>
        <v>22504.12</v>
      </c>
      <c r="J19" s="5">
        <f t="shared" si="8"/>
        <v>12445.756800000001</v>
      </c>
      <c r="K19" s="5">
        <f t="shared" si="0"/>
        <v>179740</v>
      </c>
    </row>
    <row r="20" spans="1:15" x14ac:dyDescent="0.3">
      <c r="A20" s="7" t="s">
        <v>15</v>
      </c>
      <c r="B20" s="8">
        <f t="shared" si="1"/>
        <v>23482560</v>
      </c>
      <c r="C20" s="9">
        <f t="shared" ref="C20:K20" si="9">SUM(C8:C19)</f>
        <v>2400000</v>
      </c>
      <c r="D20" s="47">
        <f>SUM(D8:D19)</f>
        <v>25882560</v>
      </c>
      <c r="E20" s="8">
        <f>SUM(E8:E19)</f>
        <v>23482560</v>
      </c>
      <c r="F20" s="9">
        <f t="shared" si="9"/>
        <v>1115421.6000000003</v>
      </c>
      <c r="G20" s="9">
        <f t="shared" si="9"/>
        <v>844198.03200000012</v>
      </c>
      <c r="H20" s="9">
        <f t="shared" si="9"/>
        <v>110927.62140480003</v>
      </c>
      <c r="I20" s="9">
        <f t="shared" si="9"/>
        <v>270049.44</v>
      </c>
      <c r="J20" s="9">
        <f t="shared" si="9"/>
        <v>149349.0816</v>
      </c>
      <c r="K20" s="9">
        <f t="shared" si="9"/>
        <v>2156880</v>
      </c>
    </row>
    <row r="21" spans="1:15" x14ac:dyDescent="0.3">
      <c r="A21" s="24" t="s">
        <v>38</v>
      </c>
      <c r="B21" s="25"/>
      <c r="C21" s="25"/>
      <c r="D21" s="25"/>
      <c r="E21" s="25"/>
      <c r="F21" s="25"/>
      <c r="G21" s="25"/>
      <c r="H21" s="25"/>
      <c r="I21" s="25"/>
      <c r="J21" s="26"/>
      <c r="K21" s="10">
        <f>B20+F20+G20+H20+I20+J20+K20+C20</f>
        <v>30529385.775004804</v>
      </c>
      <c r="M21" s="2" t="s">
        <v>34</v>
      </c>
      <c r="N21" s="10">
        <f>SUM(K21,N8)</f>
        <v>32686265.775004804</v>
      </c>
      <c r="O21" t="s">
        <v>35</v>
      </c>
    </row>
    <row r="22" spans="1:15" x14ac:dyDescent="0.3">
      <c r="M22" s="2" t="s">
        <v>36</v>
      </c>
      <c r="N22" s="30"/>
    </row>
    <row r="23" spans="1:15" x14ac:dyDescent="0.3">
      <c r="M23" s="2" t="s">
        <v>37</v>
      </c>
      <c r="N23" s="31">
        <f>N22-N21</f>
        <v>-32686265.775004804</v>
      </c>
    </row>
    <row r="24" spans="1:15" x14ac:dyDescent="0.3">
      <c r="K24" s="17" t="s">
        <v>39</v>
      </c>
    </row>
    <row r="25" spans="1:15" x14ac:dyDescent="0.3">
      <c r="G25" s="34" t="s">
        <v>18</v>
      </c>
      <c r="H25" s="34"/>
      <c r="I25" s="3" t="s">
        <v>16</v>
      </c>
      <c r="J25" s="48" t="s">
        <v>17</v>
      </c>
      <c r="K25" s="4" t="s">
        <v>15</v>
      </c>
    </row>
    <row r="26" spans="1:15" x14ac:dyDescent="0.3">
      <c r="G26" s="34" t="s">
        <v>8</v>
      </c>
      <c r="H26" s="34"/>
      <c r="I26" s="6">
        <v>4.7500000000000001E-2</v>
      </c>
      <c r="J26" s="49">
        <v>4.7500000000000001E-2</v>
      </c>
      <c r="K26" s="6">
        <f>I26+J26</f>
        <v>9.5000000000000001E-2</v>
      </c>
    </row>
    <row r="27" spans="1:15" x14ac:dyDescent="0.3">
      <c r="G27" s="34" t="s">
        <v>9</v>
      </c>
      <c r="H27" s="2" t="s">
        <v>9</v>
      </c>
      <c r="I27" s="6">
        <v>3.5950000000000003E-2</v>
      </c>
      <c r="J27" s="49">
        <v>3.5950000000000003E-2</v>
      </c>
      <c r="K27" s="19">
        <f t="shared" ref="K27:K28" si="10">I27+J27</f>
        <v>7.1900000000000006E-2</v>
      </c>
    </row>
    <row r="28" spans="1:15" x14ac:dyDescent="0.3">
      <c r="G28" s="34"/>
      <c r="H28" s="2" t="s">
        <v>10</v>
      </c>
      <c r="I28" s="6">
        <f>I27*I33</f>
        <v>4.72383E-3</v>
      </c>
      <c r="J28" s="49">
        <f>J27*I33</f>
        <v>4.72383E-3</v>
      </c>
      <c r="K28" s="6">
        <f t="shared" si="10"/>
        <v>9.4476600000000001E-3</v>
      </c>
      <c r="M28" s="18"/>
    </row>
    <row r="29" spans="1:15" x14ac:dyDescent="0.3">
      <c r="G29" s="34" t="s">
        <v>11</v>
      </c>
      <c r="H29" s="2" t="s">
        <v>12</v>
      </c>
      <c r="I29" s="6">
        <v>8.9999999999999993E-3</v>
      </c>
      <c r="J29" s="49">
        <v>8.9999999999999993E-3</v>
      </c>
      <c r="K29" s="6">
        <f t="shared" ref="K29:K31" si="11">I29+J29</f>
        <v>1.7999999999999999E-2</v>
      </c>
    </row>
    <row r="30" spans="1:15" x14ac:dyDescent="0.3">
      <c r="G30" s="34"/>
      <c r="H30" s="2" t="s">
        <v>13</v>
      </c>
      <c r="I30" s="6">
        <v>0</v>
      </c>
      <c r="J30" s="49">
        <v>2.5000000000000001E-3</v>
      </c>
      <c r="K30" s="6">
        <f t="shared" si="11"/>
        <v>2.5000000000000001E-3</v>
      </c>
    </row>
    <row r="31" spans="1:15" x14ac:dyDescent="0.3">
      <c r="G31" s="34" t="s">
        <v>14</v>
      </c>
      <c r="H31" s="34"/>
      <c r="I31" s="6">
        <v>0</v>
      </c>
      <c r="J31" s="49">
        <v>6.3600000000000002E-3</v>
      </c>
      <c r="K31" s="6">
        <f t="shared" si="11"/>
        <v>6.3600000000000002E-3</v>
      </c>
    </row>
    <row r="32" spans="1:15" x14ac:dyDescent="0.3">
      <c r="G32" s="34" t="s">
        <v>15</v>
      </c>
      <c r="H32" s="34"/>
      <c r="I32" s="6">
        <f>SUM(I26:I31)</f>
        <v>9.7173829999999989E-2</v>
      </c>
      <c r="J32" s="49">
        <f>SUM(J26:J31)</f>
        <v>0.10603383</v>
      </c>
      <c r="K32" s="6">
        <f>SUM(I32:J32)</f>
        <v>0.20320765999999998</v>
      </c>
    </row>
    <row r="33" spans="7:9" x14ac:dyDescent="0.3">
      <c r="G33" t="s">
        <v>30</v>
      </c>
      <c r="I33" s="27">
        <v>0.13139999999999999</v>
      </c>
    </row>
  </sheetData>
  <mergeCells count="9">
    <mergeCell ref="M6:N6"/>
    <mergeCell ref="G31:H31"/>
    <mergeCell ref="G32:H32"/>
    <mergeCell ref="A4:C5"/>
    <mergeCell ref="A1:K1"/>
    <mergeCell ref="G25:H25"/>
    <mergeCell ref="G27:G28"/>
    <mergeCell ref="G29:G30"/>
    <mergeCell ref="G26:H26"/>
  </mergeCells>
  <phoneticPr fontId="2" type="noConversion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인건비확보총예산기준</vt:lpstr>
      <vt:lpstr>월급기준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2018-01-08T02:05:41Z</cp:lastPrinted>
  <dcterms:created xsi:type="dcterms:W3CDTF">2015-07-10T07:13:52Z</dcterms:created>
  <dcterms:modified xsi:type="dcterms:W3CDTF">2026-01-16T05:08:50Z</dcterms:modified>
</cp:coreProperties>
</file>